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atlasadvisory.sharepoint.com/sites/marketing/Shared Documents/Design/Design Library/One-Pagers &amp; Data Sheets (8.5x11 or A4)/2025/OP313_One_Pager_Bank_Reconciliation_Template/zFINAL/01. Final/"/>
    </mc:Choice>
  </mc:AlternateContent>
  <xr:revisionPtr revIDLastSave="0" documentId="8_{7C4CA797-5A71-454E-AD35-514704F6381E}" xr6:coauthVersionLast="47" xr6:coauthVersionMax="47" xr10:uidLastSave="{00000000-0000-0000-0000-000000000000}"/>
  <bookViews>
    <workbookView xWindow="3900" yWindow="820" windowWidth="25800" windowHeight="16940" activeTab="1" xr2:uid="{BC8A4529-D62E-7E40-9B81-E94B5E75B249}"/>
  </bookViews>
  <sheets>
    <sheet name="Bank Statement" sheetId="4" r:id="rId1"/>
    <sheet name="General Ledger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G22" i="5"/>
  <c r="G21" i="5"/>
  <c r="G20" i="5"/>
  <c r="G19" i="5"/>
  <c r="G18" i="5"/>
  <c r="G17" i="5"/>
  <c r="G16" i="5"/>
  <c r="G15" i="5"/>
  <c r="G14" i="5"/>
  <c r="G24" i="4"/>
  <c r="G23" i="4"/>
  <c r="G22" i="4"/>
  <c r="G21" i="4"/>
  <c r="G20" i="4"/>
  <c r="G19" i="4"/>
  <c r="G18" i="4"/>
  <c r="G17" i="4"/>
  <c r="G16" i="4"/>
  <c r="F15" i="5" l="1"/>
  <c r="F16" i="5" s="1"/>
  <c r="F17" i="5" s="1"/>
  <c r="F18" i="5" s="1"/>
  <c r="F19" i="5" s="1"/>
  <c r="F20" i="5" s="1"/>
  <c r="F21" i="5" s="1"/>
  <c r="F22" i="5" s="1"/>
  <c r="F23" i="5" s="1"/>
  <c r="D6" i="5" s="1"/>
  <c r="F17" i="4"/>
  <c r="F18" i="4" s="1"/>
  <c r="F19" i="4" s="1"/>
  <c r="F20" i="4" s="1"/>
  <c r="F21" i="4" s="1"/>
  <c r="F22" i="4" s="1"/>
  <c r="F23" i="4" s="1"/>
  <c r="F24" i="4" s="1"/>
  <c r="D5" i="5" s="1"/>
  <c r="D7" i="5" l="1"/>
  <c r="D7" i="4"/>
  <c r="D8" i="4"/>
  <c r="D9" i="4" l="1"/>
</calcChain>
</file>

<file path=xl/sharedStrings.xml><?xml version="1.0" encoding="utf-8"?>
<sst xmlns="http://schemas.openxmlformats.org/spreadsheetml/2006/main" count="69" uniqueCount="47">
  <si>
    <t>BANK RECONCILIATION (XX/XX/XXX)</t>
  </si>
  <si>
    <t>Statement ending balance from bank statement</t>
  </si>
  <si>
    <t>&lt;&lt;&lt;&lt; User input from bank statement</t>
  </si>
  <si>
    <t>Calculated Cash balance per bank accounts</t>
  </si>
  <si>
    <t>&lt;&lt;&lt;&lt; Calculated from transactions on bank statement. This should match statement ending balance</t>
  </si>
  <si>
    <t>Cash balance per general ledger</t>
  </si>
  <si>
    <t>&lt;&lt;&lt;&lt; Calculated from the cash transactions in the general ledger</t>
  </si>
  <si>
    <t>Difference</t>
  </si>
  <si>
    <t xml:space="preserve">XX/XX/XXX Bank Statement
Account XXXXXXXXXX </t>
  </si>
  <si>
    <t xml:space="preserve"> Date </t>
  </si>
  <si>
    <t>Transactions</t>
  </si>
  <si>
    <t>Withdrawals</t>
  </si>
  <si>
    <t>Deposits</t>
  </si>
  <si>
    <t xml:space="preserve"> Balance </t>
  </si>
  <si>
    <t>Match</t>
  </si>
  <si>
    <t xml:space="preserve"> Balance</t>
  </si>
  <si>
    <t xml:space="preserve"> Issued to Supplier AA (Check No 33751)</t>
  </si>
  <si>
    <t xml:space="preserve"> Check Deposited from Customer DF </t>
  </si>
  <si>
    <t>16/12/22</t>
  </si>
  <si>
    <t xml:space="preserve"> Check Deposited from Customer BG </t>
  </si>
  <si>
    <t>18/12/22</t>
  </si>
  <si>
    <t xml:space="preserve"> Issued to XYZ Ltd (Check No 45678) </t>
  </si>
  <si>
    <t>22/12/22</t>
  </si>
  <si>
    <t xml:space="preserve"> BC Ltd (Check No 12347) </t>
  </si>
  <si>
    <t>27/12/22</t>
  </si>
  <si>
    <t xml:space="preserve"> Wages (Check No 12348)</t>
  </si>
  <si>
    <t>29/12/22</t>
  </si>
  <si>
    <t xml:space="preserve"> Check Unpaid (Customer DF) </t>
  </si>
  <si>
    <t>31/12/22</t>
  </si>
  <si>
    <t xml:space="preserve"> Bank Charges </t>
  </si>
  <si>
    <t>Template Steps</t>
  </si>
  <si>
    <t>1. The Bank Statement tab contains transactions recorded in the bank statement. The 'Balance' column is a running total of the balance per the bank statement after each transaction.</t>
  </si>
  <si>
    <t>2. The General Ledger tab contains the transactions from the general ledger. The 'Balance' column is a running total of the GL account balance after each transaction recorded.</t>
  </si>
  <si>
    <t>3. The 'Match' column indicates if there is a matching transaction between the Bank Statement and General Ledger tab.</t>
  </si>
  <si>
    <t>4. To add more transactions, simply pull the formulas in columns E and F down and adjust the cell referenced in the table at the top indicating the calculated balances.</t>
  </si>
  <si>
    <t xml:space="preserve">General Ledger as of XX/XX/XXXX
Account XXXXXXXXXX </t>
  </si>
  <si>
    <t>Date</t>
  </si>
  <si>
    <t>Debit</t>
  </si>
  <si>
    <t>Credit</t>
  </si>
  <si>
    <t>Balance</t>
  </si>
  <si>
    <t>19/12/2022</t>
  </si>
  <si>
    <t>26/12/2022</t>
  </si>
  <si>
    <t xml:space="preserve"> Issued to DFP Check No 12349</t>
  </si>
  <si>
    <t>28/12/2022</t>
  </si>
  <si>
    <t>31/12/2022</t>
  </si>
  <si>
    <t xml:space="preserve"> Issued to XYZ Ltd (Check No 50006) </t>
  </si>
  <si>
    <t xml:space="preserve"> Check from Customer C Deposited in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</si>
</sst>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sz val="11"/>
      <color rgb="FF111111"/>
      <name val="Aptos Narrow"/>
      <family val="2"/>
      <scheme val="minor"/>
    </font>
    <font>
      <sz val="11"/>
      <color rgb="FF111111"/>
      <name val="Aptos Narrow"/>
      <family val="2"/>
      <scheme val="minor"/>
    </font>
    <font>
      <sz val="11"/>
      <color rgb="FF111111"/>
      <name val="Calibri"/>
      <family val="2"/>
    </font>
    <font>
      <i/>
      <sz val="9"/>
      <color theme="1"/>
      <name val="Aptos Narrow"/>
      <family val="2"/>
      <scheme val="minor"/>
    </font>
    <font>
      <b/>
      <u/>
      <sz val="11"/>
      <color theme="0"/>
      <name val="Calibri"/>
      <family val="2"/>
    </font>
    <font>
      <b/>
      <sz val="11"/>
      <color rgb="FF111111"/>
      <name val="Calibri"/>
      <family val="2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9195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164" fontId="3" fillId="0" borderId="3" xfId="1" applyNumberFormat="1" applyFont="1" applyBorder="1"/>
    <xf numFmtId="164" fontId="4" fillId="0" borderId="3" xfId="1" applyNumberFormat="1" applyFont="1" applyBorder="1"/>
    <xf numFmtId="0" fontId="4" fillId="0" borderId="0" xfId="1" applyFont="1"/>
    <xf numFmtId="164" fontId="4" fillId="0" borderId="0" xfId="1" applyNumberFormat="1" applyFont="1"/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vertical="center"/>
    </xf>
    <xf numFmtId="0" fontId="9" fillId="0" borderId="3" xfId="1" applyFont="1" applyBorder="1"/>
    <xf numFmtId="0" fontId="7" fillId="0" borderId="3" xfId="1" applyFont="1" applyBorder="1" applyAlignment="1">
      <alignment horizontal="right" vertical="center"/>
    </xf>
    <xf numFmtId="0" fontId="11" fillId="0" borderId="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4" fontId="8" fillId="0" borderId="3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164" fontId="7" fillId="0" borderId="3" xfId="2" applyNumberFormat="1" applyFont="1" applyBorder="1" applyAlignment="1">
      <alignment horizontal="right" vertical="center"/>
    </xf>
    <xf numFmtId="164" fontId="7" fillId="0" borderId="3" xfId="2" applyNumberFormat="1" applyFont="1" applyBorder="1" applyAlignment="1">
      <alignment vertical="center"/>
    </xf>
    <xf numFmtId="164" fontId="8" fillId="0" borderId="3" xfId="2" applyNumberFormat="1" applyFont="1" applyBorder="1" applyAlignment="1">
      <alignment horizontal="right" vertical="center"/>
    </xf>
    <xf numFmtId="164" fontId="8" fillId="0" borderId="3" xfId="2" applyNumberFormat="1" applyFont="1" applyBorder="1" applyAlignment="1">
      <alignment vertical="center"/>
    </xf>
    <xf numFmtId="0" fontId="12" fillId="0" borderId="0" xfId="1" applyFont="1"/>
    <xf numFmtId="0" fontId="4" fillId="0" borderId="0" xfId="1" applyFont="1" applyAlignment="1">
      <alignment horizontal="left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164" fontId="7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Border="1" applyAlignment="1">
      <alignment vertical="center"/>
    </xf>
    <xf numFmtId="0" fontId="9" fillId="0" borderId="0" xfId="1" applyFont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8" fillId="0" borderId="0" xfId="2" applyNumberFormat="1" applyFont="1" applyBorder="1" applyAlignment="1">
      <alignment horizontal="right" vertical="center"/>
    </xf>
    <xf numFmtId="0" fontId="2" fillId="0" borderId="0" xfId="1" applyFont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</cellXfs>
  <cellStyles count="3">
    <cellStyle name="Comma 2" xfId="2" xr:uid="{0B198DBE-D714-8A43-96E8-A83788C41797}"/>
    <cellStyle name="Normal" xfId="0" builtinId="0"/>
    <cellStyle name="Normal 2" xfId="1" xr:uid="{DABFE776-6119-924C-AA6E-99AC39BCD8DD}"/>
  </cellStyles>
  <dxfs count="10">
    <dxf>
      <font>
        <color theme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919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ubs.la/Q03khCBm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hubs.la/Q03khFF00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hubs.la/Q03khCBm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hubs.la/Q03khFF00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4142619</xdr:colOff>
      <xdr:row>33</xdr:row>
      <xdr:rowOff>175217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C8D9C-B485-CE55-C6C5-05A49D5F9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4142619" cy="6664917"/>
        </a:xfrm>
        <a:prstGeom prst="rect">
          <a:avLst/>
        </a:prstGeom>
      </xdr:spPr>
    </xdr:pic>
    <xdr:clientData/>
  </xdr:twoCellAnchor>
  <xdr:twoCellAnchor editAs="oneCell">
    <xdr:from>
      <xdr:col>0</xdr:col>
      <xdr:colOff>11925</xdr:colOff>
      <xdr:row>33</xdr:row>
      <xdr:rowOff>144467</xdr:rowOff>
    </xdr:from>
    <xdr:to>
      <xdr:col>0</xdr:col>
      <xdr:colOff>4142282</xdr:colOff>
      <xdr:row>51</xdr:row>
      <xdr:rowOff>178251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F0FA92-5D14-89E6-E27A-ED463C637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25" y="6714600"/>
          <a:ext cx="4130357" cy="3538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-145</xdr:colOff>
      <xdr:row>0</xdr:row>
      <xdr:rowOff>0</xdr:rowOff>
    </xdr:from>
    <xdr:to>
      <xdr:col>0</xdr:col>
      <xdr:colOff>4089848</xdr:colOff>
      <xdr:row>35</xdr:row>
      <xdr:rowOff>27050</xdr:rowOff>
    </xdr:to>
    <xdr:pic>
      <xdr:nvPicPr>
        <xdr:cNvPr id="2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ACCEF-2A7C-6748-9AA0-9C27608F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-145" y="0"/>
          <a:ext cx="4089993" cy="658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11925</xdr:colOff>
      <xdr:row>35</xdr:row>
      <xdr:rowOff>30167</xdr:rowOff>
    </xdr:from>
    <xdr:to>
      <xdr:col>0</xdr:col>
      <xdr:colOff>4146516</xdr:colOff>
      <xdr:row>53</xdr:row>
      <xdr:rowOff>63951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C0CC04-4EFE-884B-995F-0081CDAD1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25" y="6549500"/>
          <a:ext cx="4134591" cy="3386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35B2-1B45-D847-8627-32198C4ADDA5}">
  <dimension ref="B4:H32"/>
  <sheetViews>
    <sheetView showGridLines="0" topLeftCell="A9" zoomScaleNormal="100" workbookViewId="0">
      <selection activeCell="K15" sqref="K15"/>
    </sheetView>
  </sheetViews>
  <sheetFormatPr defaultColWidth="9.875" defaultRowHeight="15"/>
  <cols>
    <col min="1" max="1" width="62.5" style="1" customWidth="1"/>
    <col min="2" max="2" width="13.375" style="1" customWidth="1"/>
    <col min="3" max="3" width="38" style="1" customWidth="1"/>
    <col min="4" max="4" width="12.375" style="1" customWidth="1"/>
    <col min="5" max="5" width="10.125" style="1" customWidth="1"/>
    <col min="6" max="6" width="13.375" style="1" customWidth="1"/>
    <col min="7" max="7" width="21.5" style="1" customWidth="1"/>
    <col min="8" max="8" width="2.875" style="1" customWidth="1"/>
    <col min="9" max="16384" width="9.875" style="1"/>
  </cols>
  <sheetData>
    <row r="4" spans="2:8" ht="20.100000000000001">
      <c r="B4" s="32" t="s">
        <v>0</v>
      </c>
      <c r="C4" s="32"/>
      <c r="D4" s="32"/>
      <c r="E4" s="32"/>
      <c r="F4" s="32"/>
      <c r="G4" s="32"/>
      <c r="H4" s="32"/>
    </row>
    <row r="6" spans="2:8">
      <c r="B6" s="37" t="s">
        <v>1</v>
      </c>
      <c r="C6" s="38"/>
      <c r="D6" s="2">
        <v>1541500</v>
      </c>
      <c r="E6" s="1" t="s">
        <v>2</v>
      </c>
    </row>
    <row r="7" spans="2:8">
      <c r="B7" s="37" t="s">
        <v>3</v>
      </c>
      <c r="C7" s="38"/>
      <c r="D7" s="2">
        <f>F24</f>
        <v>1541500</v>
      </c>
      <c r="E7" s="1" t="s">
        <v>4</v>
      </c>
    </row>
    <row r="8" spans="2:8">
      <c r="B8" s="37" t="s">
        <v>5</v>
      </c>
      <c r="C8" s="38"/>
      <c r="D8" s="2">
        <f>'General Ledger'!F23</f>
        <v>871520</v>
      </c>
      <c r="E8" s="1" t="s">
        <v>6</v>
      </c>
    </row>
    <row r="9" spans="2:8" ht="14.45" customHeight="1">
      <c r="B9" s="37" t="s">
        <v>7</v>
      </c>
      <c r="C9" s="38"/>
      <c r="D9" s="3">
        <f>D7-D8</f>
        <v>669980</v>
      </c>
    </row>
    <row r="10" spans="2:8" ht="14.45" customHeight="1">
      <c r="B10" s="23"/>
      <c r="C10" s="23"/>
      <c r="D10" s="5"/>
    </row>
    <row r="11" spans="2:8">
      <c r="B11" s="4"/>
      <c r="D11" s="5"/>
    </row>
    <row r="13" spans="2:8" ht="18.600000000000001" customHeight="1">
      <c r="B13" s="33" t="s">
        <v>8</v>
      </c>
      <c r="C13" s="34"/>
      <c r="D13" s="34"/>
      <c r="E13" s="34"/>
      <c r="F13" s="34"/>
      <c r="G13" s="34"/>
    </row>
    <row r="14" spans="2:8" ht="15.95" customHeight="1">
      <c r="B14" s="35"/>
      <c r="C14" s="36"/>
      <c r="D14" s="36"/>
      <c r="E14" s="36"/>
      <c r="F14" s="36"/>
      <c r="G14" s="36"/>
    </row>
    <row r="15" spans="2:8" ht="30.95" customHeight="1">
      <c r="B15" s="6" t="s">
        <v>9</v>
      </c>
      <c r="C15" s="6" t="s">
        <v>10</v>
      </c>
      <c r="D15" s="7" t="s">
        <v>11</v>
      </c>
      <c r="E15" s="7" t="s">
        <v>12</v>
      </c>
      <c r="F15" s="8" t="s">
        <v>13</v>
      </c>
      <c r="G15" s="8" t="s">
        <v>14</v>
      </c>
    </row>
    <row r="16" spans="2:8" ht="14.45" customHeight="1">
      <c r="B16" s="9">
        <v>44573</v>
      </c>
      <c r="C16" s="10" t="s">
        <v>15</v>
      </c>
      <c r="D16" s="19"/>
      <c r="E16" s="19"/>
      <c r="F16" s="20">
        <v>1000000</v>
      </c>
      <c r="G16" s="11" t="str">
        <f>IF(AND(IF(ISERROR(VLOOKUP(C16,'General Ledger'!$C$13:$F$23,2,FALSE)),"False","True"), IF(VLOOKUP(C16, 'General Ledger'!$C$13:$F$23,4,FALSE)=F16, "True", "False")), "Match", "No Match")</f>
        <v>Match</v>
      </c>
    </row>
    <row r="17" spans="2:7" ht="14.45" customHeight="1">
      <c r="B17" s="9">
        <v>44785</v>
      </c>
      <c r="C17" s="10" t="s">
        <v>16</v>
      </c>
      <c r="D17" s="18">
        <v>100000</v>
      </c>
      <c r="E17" s="19"/>
      <c r="F17" s="18">
        <f t="shared" ref="F17:F24" si="0">F16+E17-D17</f>
        <v>900000</v>
      </c>
      <c r="G17" s="11" t="str">
        <f>IF(AND(IF(ISERROR(VLOOKUP(C17,'General Ledger'!$C$13:$F$23,1,FALSE)),"False","True"),IFERROR(VLOOKUP(C17,'General Ledger'!$C$13:$E$23,3,FALSE)=D17, "False"),IFERROR(VLOOKUP(C17,'General Ledger'!$C$13:$E$23,2,FALSE)=E17,"False")),"Match","No Match")</f>
        <v>Match</v>
      </c>
    </row>
    <row r="18" spans="2:7">
      <c r="B18" s="9">
        <v>44907</v>
      </c>
      <c r="C18" s="10" t="s">
        <v>17</v>
      </c>
      <c r="D18" s="19"/>
      <c r="E18" s="20">
        <v>280000</v>
      </c>
      <c r="F18" s="18">
        <f t="shared" si="0"/>
        <v>1180000</v>
      </c>
      <c r="G18" s="11" t="str">
        <f>IF(AND(IF(ISERROR(VLOOKUP(C18,'General Ledger'!$C$13:$F$23,1,FALSE)),"False","True"),IFERROR(VLOOKUP(C18,'General Ledger'!$C$13:$E$23,3,FALSE)=D18, "False"),IFERROR(VLOOKUP(C18,'General Ledger'!$C$13:$E$23,2,FALSE)=E18,"False")),"Match","No Match")</f>
        <v>Match</v>
      </c>
    </row>
    <row r="19" spans="2:7" ht="14.45" customHeight="1">
      <c r="B19" s="12" t="s">
        <v>18</v>
      </c>
      <c r="C19" s="10" t="s">
        <v>19</v>
      </c>
      <c r="D19" s="19"/>
      <c r="E19" s="18">
        <v>480000</v>
      </c>
      <c r="F19" s="18">
        <f t="shared" si="0"/>
        <v>1660000</v>
      </c>
      <c r="G19" s="11" t="str">
        <f>IF(AND(IF(ISERROR(VLOOKUP(C19,'General Ledger'!$C$13:$F$23,1,FALSE)),"False","True"),IFERROR(VLOOKUP(C19,'General Ledger'!$C$13:$E$23,3,FALSE)=D19, "False"),IFERROR(VLOOKUP(C19,'General Ledger'!$C$13:$E$23,2,FALSE)=E19,"False")),"Match","No Match")</f>
        <v>Match</v>
      </c>
    </row>
    <row r="20" spans="2:7" ht="17.100000000000001" customHeight="1">
      <c r="B20" s="12" t="s">
        <v>20</v>
      </c>
      <c r="C20" s="10" t="s">
        <v>21</v>
      </c>
      <c r="D20" s="18">
        <v>40900</v>
      </c>
      <c r="E20" s="19"/>
      <c r="F20" s="18">
        <f t="shared" si="0"/>
        <v>1619100</v>
      </c>
      <c r="G20" s="11" t="str">
        <f>IF(AND(IF(ISERROR(VLOOKUP(C20,'General Ledger'!$C$13:$F$23,1,FALSE)),"False","True"),IFERROR(VLOOKUP(C20,'General Ledger'!$C$13:$E$23,3,FALSE)=D20, "False"),IFERROR(VLOOKUP(C20,'General Ledger'!$C$13:$E$23,2,FALSE)=E20,"False")),"Match","No Match")</f>
        <v>Match</v>
      </c>
    </row>
    <row r="21" spans="2:7">
      <c r="B21" s="12" t="s">
        <v>22</v>
      </c>
      <c r="C21" s="10" t="s">
        <v>23</v>
      </c>
      <c r="D21" s="18">
        <v>48000</v>
      </c>
      <c r="E21" s="19"/>
      <c r="F21" s="18">
        <f t="shared" si="0"/>
        <v>1571100</v>
      </c>
      <c r="G21" s="11" t="str">
        <f>IF(AND(IF(ISERROR(VLOOKUP(C21,'General Ledger'!$C$13:$F$23,1,FALSE)),"False","True"),IFERROR(VLOOKUP(C21,'General Ledger'!$C$13:$E$23,3,FALSE)=D21, "False"),IFERROR(VLOOKUP(C21,'General Ledger'!$C$13:$E$23,2,FALSE)=E21,"False")),"Match","No Match")</f>
        <v>Match</v>
      </c>
    </row>
    <row r="22" spans="2:7" ht="14.45" customHeight="1">
      <c r="B22" s="12" t="s">
        <v>24</v>
      </c>
      <c r="C22" s="10" t="s">
        <v>25</v>
      </c>
      <c r="D22" s="18">
        <v>29080</v>
      </c>
      <c r="E22" s="19"/>
      <c r="F22" s="18">
        <f t="shared" si="0"/>
        <v>1542020</v>
      </c>
      <c r="G22" s="11" t="str">
        <f>IF(AND(IF(ISERROR(VLOOKUP(C22,'General Ledger'!$C$13:$F$23,1,FALSE)),"False","True"),IFERROR(VLOOKUP(C22,'General Ledger'!$C$13:$E$23,3,FALSE)=D22, "False"),IFERROR(VLOOKUP(C22,'General Ledger'!$C$13:$E$23,2,FALSE)=E22,"False")),"Match","No Match")</f>
        <v>Match</v>
      </c>
    </row>
    <row r="23" spans="2:7" ht="14.45" customHeight="1">
      <c r="B23" s="12" t="s">
        <v>26</v>
      </c>
      <c r="C23" s="10" t="s">
        <v>27</v>
      </c>
      <c r="D23" s="18">
        <v>500</v>
      </c>
      <c r="E23" s="19"/>
      <c r="F23" s="18">
        <f t="shared" si="0"/>
        <v>1541520</v>
      </c>
      <c r="G23" s="11" t="str">
        <f>IF(AND(IF(ISERROR(VLOOKUP(C23,'General Ledger'!$C$13:$F$23,1,FALSE)),"False","True"),IFERROR(VLOOKUP(C23,'General Ledger'!$C$13:$E$23,3,FALSE)=D23, "False"),IFERROR(VLOOKUP(C23,'General Ledger'!$C$13:$E$23,2,FALSE)=E23,"False")),"Match","No Match")</f>
        <v>No Match</v>
      </c>
    </row>
    <row r="24" spans="2:7" ht="14.45" customHeight="1">
      <c r="B24" s="12" t="s">
        <v>28</v>
      </c>
      <c r="C24" s="10" t="s">
        <v>29</v>
      </c>
      <c r="D24" s="18">
        <v>20</v>
      </c>
      <c r="E24" s="19"/>
      <c r="F24" s="18">
        <f t="shared" si="0"/>
        <v>1541500</v>
      </c>
      <c r="G24" s="11" t="str">
        <f>IF(AND(IF(ISERROR(VLOOKUP(C24,'General Ledger'!$C$13:$F$23,1,FALSE)),"False","True"),IFERROR(VLOOKUP(C24,'General Ledger'!$C$13:$E$23,3,FALSE)=D24, "False"),IFERROR(VLOOKUP(C24,'General Ledger'!$C$13:$E$23,2,FALSE)=E24,"False")),"Match","No Match")</f>
        <v>No Match</v>
      </c>
    </row>
    <row r="25" spans="2:7" ht="14.45" customHeight="1">
      <c r="B25" s="24"/>
      <c r="C25" s="25"/>
      <c r="D25" s="26"/>
      <c r="E25" s="27"/>
      <c r="F25" s="26"/>
      <c r="G25" s="28"/>
    </row>
    <row r="26" spans="2:7" ht="14.45" customHeight="1">
      <c r="B26" s="24"/>
      <c r="C26" s="25"/>
      <c r="D26" s="26"/>
      <c r="E26" s="27"/>
      <c r="F26" s="26"/>
      <c r="G26" s="28"/>
    </row>
    <row r="27" spans="2:7" ht="14.45" customHeight="1"/>
    <row r="28" spans="2:7">
      <c r="B28" s="22" t="s">
        <v>30</v>
      </c>
    </row>
    <row r="29" spans="2:7">
      <c r="B29" s="1" t="s">
        <v>31</v>
      </c>
    </row>
    <row r="30" spans="2:7">
      <c r="B30" s="1" t="s">
        <v>32</v>
      </c>
    </row>
    <row r="31" spans="2:7">
      <c r="B31" s="1" t="s">
        <v>33</v>
      </c>
    </row>
    <row r="32" spans="2:7">
      <c r="B32" s="1" t="s">
        <v>34</v>
      </c>
    </row>
  </sheetData>
  <mergeCells count="6">
    <mergeCell ref="B4:H4"/>
    <mergeCell ref="B13:G14"/>
    <mergeCell ref="B7:C7"/>
    <mergeCell ref="B8:C8"/>
    <mergeCell ref="B9:C9"/>
    <mergeCell ref="B6:C6"/>
  </mergeCells>
  <conditionalFormatting sqref="D9:D11">
    <cfRule type="containsText" dxfId="9" priority="3" operator="containsText" text="CORRECT">
      <formula>NOT(ISERROR(SEARCH("CORRECT",D9)))</formula>
    </cfRule>
    <cfRule type="containsText" dxfId="8" priority="4" operator="containsText" text="MISMATCH">
      <formula>NOT(ISERROR(SEARCH("MISMATCH",D9)))</formula>
    </cfRule>
    <cfRule type="cellIs" dxfId="7" priority="5" operator="equal">
      <formula>"""MISMATCH"""</formula>
    </cfRule>
  </conditionalFormatting>
  <conditionalFormatting sqref="G16:G1048576">
    <cfRule type="containsText" dxfId="6" priority="1" stopIfTrue="1" operator="containsText" text="No Match">
      <formula>NOT(ISERROR(SEARCH("No Match",G16)))</formula>
    </cfRule>
    <cfRule type="containsText" dxfId="5" priority="2" stopIfTrue="1" operator="containsText" text="Match">
      <formula>NOT(ISERROR(SEARCH("Match",G16)))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9764-E4F5-214A-A8BD-414EE4255D2C}">
  <dimension ref="B4:G31"/>
  <sheetViews>
    <sheetView showGridLines="0" tabSelected="1" zoomScale="75" zoomScaleNormal="100" workbookViewId="0">
      <selection activeCell="A20" sqref="A20"/>
    </sheetView>
  </sheetViews>
  <sheetFormatPr defaultColWidth="9.875" defaultRowHeight="15"/>
  <cols>
    <col min="1" max="1" width="62.125" style="1" customWidth="1"/>
    <col min="2" max="2" width="13.375" style="1" customWidth="1"/>
    <col min="3" max="3" width="38" style="1" customWidth="1"/>
    <col min="4" max="4" width="11.375" style="1" customWidth="1"/>
    <col min="5" max="5" width="10.125" style="1" customWidth="1"/>
    <col min="6" max="6" width="11.625" style="1" customWidth="1"/>
    <col min="7" max="7" width="23.875" style="1" customWidth="1"/>
    <col min="8" max="8" width="3.875" style="1" customWidth="1"/>
    <col min="9" max="16384" width="9.875" style="1"/>
  </cols>
  <sheetData>
    <row r="4" spans="2:7">
      <c r="B4" s="37" t="s">
        <v>1</v>
      </c>
      <c r="C4" s="38"/>
      <c r="D4" s="2">
        <v>1541500</v>
      </c>
      <c r="E4" s="1" t="s">
        <v>2</v>
      </c>
    </row>
    <row r="5" spans="2:7">
      <c r="B5" s="37" t="s">
        <v>3</v>
      </c>
      <c r="C5" s="38"/>
      <c r="D5" s="2">
        <f>'Bank Statement'!F24</f>
        <v>1541500</v>
      </c>
      <c r="E5" s="1" t="s">
        <v>4</v>
      </c>
    </row>
    <row r="6" spans="2:7">
      <c r="B6" s="37" t="s">
        <v>5</v>
      </c>
      <c r="C6" s="38"/>
      <c r="D6" s="2">
        <f>F23</f>
        <v>871520</v>
      </c>
      <c r="E6" s="1" t="s">
        <v>6</v>
      </c>
    </row>
    <row r="7" spans="2:7" ht="14.45" customHeight="1">
      <c r="B7" s="37" t="s">
        <v>7</v>
      </c>
      <c r="C7" s="38"/>
      <c r="D7" s="3">
        <f>D5-D6</f>
        <v>669980</v>
      </c>
    </row>
    <row r="8" spans="2:7" ht="14.45" customHeight="1">
      <c r="B8" s="23"/>
      <c r="C8" s="23"/>
      <c r="D8" s="5"/>
    </row>
    <row r="11" spans="2:7">
      <c r="B11" s="39" t="s">
        <v>35</v>
      </c>
      <c r="C11" s="40"/>
      <c r="D11" s="40"/>
      <c r="E11" s="40"/>
      <c r="F11" s="40"/>
      <c r="G11" s="40"/>
    </row>
    <row r="12" spans="2:7">
      <c r="B12" s="41"/>
      <c r="C12" s="40"/>
      <c r="D12" s="40"/>
      <c r="E12" s="40"/>
      <c r="F12" s="40"/>
      <c r="G12" s="40"/>
    </row>
    <row r="13" spans="2:7" ht="14.45" customHeight="1">
      <c r="B13" s="13" t="s">
        <v>36</v>
      </c>
      <c r="C13" s="13" t="s">
        <v>10</v>
      </c>
      <c r="D13" s="13" t="s">
        <v>37</v>
      </c>
      <c r="E13" s="13" t="s">
        <v>38</v>
      </c>
      <c r="F13" s="14" t="s">
        <v>39</v>
      </c>
      <c r="G13" s="14" t="s">
        <v>14</v>
      </c>
    </row>
    <row r="14" spans="2:7">
      <c r="B14" s="15">
        <v>44573</v>
      </c>
      <c r="C14" s="16" t="s">
        <v>15</v>
      </c>
      <c r="D14" s="21"/>
      <c r="E14" s="21"/>
      <c r="F14" s="20">
        <v>1000000</v>
      </c>
      <c r="G14" s="11" t="str">
        <f>IF(AND(IF(ISERROR(VLOOKUP(C14, 'Bank Statement'!$C$16:$C$162, 1,FALSE)), "False", "True"), IF(VLOOKUP(C14, 'Bank Statement'!$C$16:$F$162, 4,FALSE)=F14, "True", "False")), "Match", "No Match")</f>
        <v>Match</v>
      </c>
    </row>
    <row r="15" spans="2:7">
      <c r="B15" s="15">
        <v>44785</v>
      </c>
      <c r="C15" s="10" t="s">
        <v>16</v>
      </c>
      <c r="D15" s="18"/>
      <c r="E15" s="18">
        <v>100000</v>
      </c>
      <c r="F15" s="20">
        <f t="shared" ref="F15:F23" si="0">F14-E15+D15</f>
        <v>900000</v>
      </c>
      <c r="G15" s="11" t="str">
        <f>IF(AND(IF(ISERROR(VLOOKUP(C15, 'Bank Statement'!$C$16:$C$162, 1,FALSE)), "False", "True"), IFERROR(VLOOKUP(C15,'Bank Statement'!C15:E24, 3, FALSE) = D15, "False"), IFERROR(VLOOKUP(C15,'Bank Statement'!C15:E24, 2, FALSE) = E15, "False")),"Match", "No Match")</f>
        <v>Match</v>
      </c>
    </row>
    <row r="16" spans="2:7">
      <c r="B16" s="15">
        <v>44907</v>
      </c>
      <c r="C16" s="16" t="s">
        <v>17</v>
      </c>
      <c r="D16" s="20">
        <v>280000</v>
      </c>
      <c r="E16" s="20"/>
      <c r="F16" s="20">
        <f t="shared" si="0"/>
        <v>1180000</v>
      </c>
      <c r="G16" s="11" t="str">
        <f>IF(AND(IF(ISERROR(VLOOKUP(C16, 'Bank Statement'!$C$16:$C$162, 1,FALSE)), "False", "True"), IFERROR(VLOOKUP(C16,'Bank Statement'!C16:E27, 3, FALSE) = D16, "False"), IFERROR(VLOOKUP(C16,'Bank Statement'!C16:E27, 2, FALSE) = E16, "False")),"Match", "No Match")</f>
        <v>Match</v>
      </c>
    </row>
    <row r="17" spans="2:7" ht="14.45" customHeight="1">
      <c r="B17" s="15">
        <v>44907</v>
      </c>
      <c r="C17" s="16" t="s">
        <v>19</v>
      </c>
      <c r="D17" s="18">
        <v>480000</v>
      </c>
      <c r="E17" s="18"/>
      <c r="F17" s="20">
        <f t="shared" si="0"/>
        <v>1660000</v>
      </c>
      <c r="G17" s="11" t="str">
        <f>IF(AND(IF(ISERROR(VLOOKUP(C17, 'Bank Statement'!$C$16:$C$162, 1,FALSE)), "False", "True"), IFERROR(VLOOKUP(C17,'Bank Statement'!C17:E28, 3, FALSE) = D17, "False"), IFERROR(VLOOKUP(C17,'Bank Statement'!C17:E28, 2, FALSE) = E17, "False")),"Match", "No Match")</f>
        <v>Match</v>
      </c>
    </row>
    <row r="18" spans="2:7">
      <c r="B18" s="15">
        <v>44907</v>
      </c>
      <c r="C18" s="16" t="s">
        <v>21</v>
      </c>
      <c r="D18" s="18"/>
      <c r="E18" s="18">
        <v>40900</v>
      </c>
      <c r="F18" s="20">
        <f t="shared" si="0"/>
        <v>1619100</v>
      </c>
      <c r="G18" s="11" t="str">
        <f>IF(AND(IF(ISERROR(VLOOKUP(C18, 'Bank Statement'!$C$16:$C$162, 1,FALSE)), "False", "True"), IFERROR(VLOOKUP(C18,'Bank Statement'!C18:E29, 3, FALSE) = D18, "False"), IFERROR(VLOOKUP(C18,'Bank Statement'!C18:E29, 2, FALSE) = E18, "False")),"Match", "No Match")</f>
        <v>Match</v>
      </c>
    </row>
    <row r="19" spans="2:7">
      <c r="B19" s="17" t="s">
        <v>40</v>
      </c>
      <c r="C19" s="16" t="s">
        <v>23</v>
      </c>
      <c r="D19" s="18"/>
      <c r="E19" s="18">
        <v>48000</v>
      </c>
      <c r="F19" s="20">
        <f t="shared" si="0"/>
        <v>1571100</v>
      </c>
      <c r="G19" s="11" t="str">
        <f>IF(AND(IF(ISERROR(VLOOKUP(C19, 'Bank Statement'!$C$16:$C$162, 1,FALSE)), "False", "True"), IFERROR(VLOOKUP(C19,'Bank Statement'!C19:E30, 3, FALSE) = D19, "False"), IFERROR(VLOOKUP(C19,'Bank Statement'!C19:E30, 2, FALSE) = E19, "False")),"Match", "No Match")</f>
        <v>Match</v>
      </c>
    </row>
    <row r="20" spans="2:7" ht="14.45" customHeight="1">
      <c r="B20" s="17" t="s">
        <v>41</v>
      </c>
      <c r="C20" s="16" t="s">
        <v>42</v>
      </c>
      <c r="D20" s="21"/>
      <c r="E20" s="20">
        <v>220000</v>
      </c>
      <c r="F20" s="20">
        <f t="shared" si="0"/>
        <v>1351100</v>
      </c>
      <c r="G20" s="11" t="str">
        <f>IF(AND(IF(ISERROR(VLOOKUP(C20, 'Bank Statement'!$C$16:$C$162, 1,FALSE)), "False", "True"), IFERROR(VLOOKUP(C20,'Bank Statement'!C20:E31, 3, FALSE) = D20, "False"), IFERROR(VLOOKUP(C20,'Bank Statement'!C20:E31, 2, FALSE) = E20, "False")),"Match", "No Match")</f>
        <v>No Match</v>
      </c>
    </row>
    <row r="21" spans="2:7">
      <c r="B21" s="17" t="s">
        <v>43</v>
      </c>
      <c r="C21" s="16" t="s">
        <v>25</v>
      </c>
      <c r="D21" s="18"/>
      <c r="E21" s="18">
        <v>29080</v>
      </c>
      <c r="F21" s="20">
        <f t="shared" si="0"/>
        <v>1322020</v>
      </c>
      <c r="G21" s="11" t="str">
        <f>IF(AND(IF(ISERROR(VLOOKUP(C21, 'Bank Statement'!$C$16:$C$162, 1,FALSE)), "False", "True"), IFERROR(VLOOKUP(C21,'Bank Statement'!C21:E32, 3, FALSE) = D21, "False"), IFERROR(VLOOKUP(C21,'Bank Statement'!C21:E32, 2, FALSE) = E21, "False")),"Match", "No Match")</f>
        <v>Match</v>
      </c>
    </row>
    <row r="22" spans="2:7">
      <c r="B22" s="17" t="s">
        <v>44</v>
      </c>
      <c r="C22" s="16" t="s">
        <v>45</v>
      </c>
      <c r="D22" s="21"/>
      <c r="E22" s="20">
        <v>450000</v>
      </c>
      <c r="F22" s="20">
        <f t="shared" si="0"/>
        <v>872020</v>
      </c>
      <c r="G22" s="11" t="str">
        <f>IF(AND(IF(ISERROR(VLOOKUP(C22, 'Bank Statement'!$C$16:$C$162, 1,FALSE)), "False", "True"), IFERROR(VLOOKUP(C22,'Bank Statement'!C22:E33, 3, FALSE) = D22, "False"), IFERROR(VLOOKUP(C22,'Bank Statement'!C22:E33, 2, FALSE) = E22, "False")),"Match", "No Match")</f>
        <v>No Match</v>
      </c>
    </row>
    <row r="23" spans="2:7" ht="14.45" customHeight="1">
      <c r="B23" s="17" t="s">
        <v>44</v>
      </c>
      <c r="C23" s="16" t="s">
        <v>46</v>
      </c>
      <c r="D23" s="20"/>
      <c r="E23" s="18">
        <v>500</v>
      </c>
      <c r="F23" s="20">
        <f t="shared" si="0"/>
        <v>871520</v>
      </c>
      <c r="G23" s="11" t="str">
        <f>IF(AND(IF(ISERROR(VLOOKUP(C23, 'Bank Statement'!$C$16:$C$162, 1,FALSE)), "False", "True"), IFERROR(VLOOKUP(C23,'Bank Statement'!C23:E34, 3, FALSE) = D23, "False"), IFERROR(VLOOKUP(C23,'Bank Statement'!C23:E34, 2, FALSE) = E23, "False")),"Match", "No Match")</f>
        <v>No Match</v>
      </c>
    </row>
    <row r="24" spans="2:7" ht="14.45" customHeight="1">
      <c r="B24" s="29"/>
      <c r="C24" s="30"/>
      <c r="D24" s="31"/>
      <c r="E24" s="26"/>
      <c r="F24" s="31"/>
      <c r="G24" s="28"/>
    </row>
    <row r="25" spans="2:7" ht="14.45" customHeight="1">
      <c r="B25" s="29"/>
      <c r="C25" s="30"/>
      <c r="D25" s="31"/>
      <c r="E25" s="26"/>
      <c r="F25" s="31"/>
      <c r="G25" s="28"/>
    </row>
    <row r="27" spans="2:7" ht="14.45" customHeight="1">
      <c r="B27" s="22" t="s">
        <v>30</v>
      </c>
    </row>
    <row r="28" spans="2:7">
      <c r="B28" s="1" t="s">
        <v>31</v>
      </c>
    </row>
    <row r="29" spans="2:7">
      <c r="B29" s="1" t="s">
        <v>32</v>
      </c>
    </row>
    <row r="30" spans="2:7">
      <c r="B30" s="1" t="s">
        <v>33</v>
      </c>
    </row>
    <row r="31" spans="2:7">
      <c r="B31" s="1" t="s">
        <v>34</v>
      </c>
    </row>
  </sheetData>
  <mergeCells count="5">
    <mergeCell ref="B11:G12"/>
    <mergeCell ref="B4:C4"/>
    <mergeCell ref="B5:C5"/>
    <mergeCell ref="B6:C6"/>
    <mergeCell ref="B7:C7"/>
  </mergeCells>
  <conditionalFormatting sqref="D7:D8">
    <cfRule type="containsText" dxfId="4" priority="1" operator="containsText" text="CORRECT">
      <formula>NOT(ISERROR(SEARCH("CORRECT",D7)))</formula>
    </cfRule>
    <cfRule type="containsText" dxfId="3" priority="2" operator="containsText" text="MISMATCH">
      <formula>NOT(ISERROR(SEARCH("MISMATCH",D7)))</formula>
    </cfRule>
    <cfRule type="cellIs" dxfId="2" priority="3" operator="equal">
      <formula>"""MISMATCH"""</formula>
    </cfRule>
  </conditionalFormatting>
  <conditionalFormatting sqref="G14:G1048576">
    <cfRule type="cellIs" dxfId="1" priority="4" stopIfTrue="1" operator="equal">
      <formula>"No Match"</formula>
    </cfRule>
    <cfRule type="containsText" dxfId="0" priority="5" stopIfTrue="1" operator="containsText" text="Match">
      <formula>NOT(ISERROR(SEARCH("Match",G14)))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ED83C676C5B4D8B5FC9E9DC0D3209" ma:contentTypeVersion="13" ma:contentTypeDescription="Create a new document." ma:contentTypeScope="" ma:versionID="5b38390ce91c1f4faa3f9a26bc91682f">
  <xsd:schema xmlns:xsd="http://www.w3.org/2001/XMLSchema" xmlns:xs="http://www.w3.org/2001/XMLSchema" xmlns:p="http://schemas.microsoft.com/office/2006/metadata/properties" xmlns:ns2="7a17bde7-b622-4055-af83-ff3d5412b7ce" xmlns:ns3="05eb9085-4275-419c-a4a6-62f386bf2732" targetNamespace="http://schemas.microsoft.com/office/2006/metadata/properties" ma:root="true" ma:fieldsID="4abd85e3167d58b00a8e8f4adc8ecce2" ns2:_="" ns3:_="">
    <xsd:import namespace="7a17bde7-b622-4055-af83-ff3d5412b7ce"/>
    <xsd:import namespace="05eb9085-4275-419c-a4a6-62f386bf27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7bde7-b622-4055-af83-ff3d5412b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b9085-4275-419c-a4a6-62f386bf273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6f43a8d-3f89-40a4-bdb7-e629315d7e44}" ma:internalName="TaxCatchAll" ma:showField="CatchAllData" ma:web="05eb9085-4275-419c-a4a6-62f386bf27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17bde7-b622-4055-af83-ff3d5412b7ce">
      <Terms xmlns="http://schemas.microsoft.com/office/infopath/2007/PartnerControls"/>
    </lcf76f155ced4ddcb4097134ff3c332f>
    <TaxCatchAll xmlns="05eb9085-4275-419c-a4a6-62f386bf27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D780E-4F93-4F6E-84A1-5E69BE8B394E}"/>
</file>

<file path=customXml/itemProps2.xml><?xml version="1.0" encoding="utf-8"?>
<ds:datastoreItem xmlns:ds="http://schemas.openxmlformats.org/officeDocument/2006/customXml" ds:itemID="{94F6B449-54E9-4CC7-9B41-52922673BD8F}"/>
</file>

<file path=customXml/itemProps3.xml><?xml version="1.0" encoding="utf-8"?>
<ds:datastoreItem xmlns:ds="http://schemas.openxmlformats.org/officeDocument/2006/customXml" ds:itemID="{2AD6C841-3CBA-4873-B852-EC02158BC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 Hunsaker</dc:creator>
  <cp:keywords/>
  <dc:description/>
  <cp:lastModifiedBy/>
  <cp:revision/>
  <dcterms:created xsi:type="dcterms:W3CDTF">2025-04-17T19:23:17Z</dcterms:created>
  <dcterms:modified xsi:type="dcterms:W3CDTF">2025-05-05T19:05:32Z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0x01010097AED83C676C5B4D8B5FC9E9DC0D3209</vt:lpwstr>
  </property>
  <property fmtid="{D5CDD505-2E9C-101B-9397-08002B2CF9AE}" pid="3" name="MediaServiceImageTags">
    <vt:lpwstr/>
  </property>
</Properties>
</file>